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tsa\Downloads\"/>
    </mc:Choice>
  </mc:AlternateContent>
  <xr:revisionPtr revIDLastSave="0" documentId="8_{448D8F10-9B20-4D07-A185-A7EECFBFC394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Budget vs. Actual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 l="1"/>
  <c r="F79" i="1"/>
  <c r="F59" i="1"/>
  <c r="B54" i="1" l="1"/>
  <c r="D54" i="1" s="1"/>
  <c r="B24" i="1"/>
  <c r="B10" i="1"/>
  <c r="B9" i="1"/>
  <c r="B11" i="1" s="1"/>
  <c r="B8" i="1"/>
  <c r="F84" i="1"/>
  <c r="F17" i="1"/>
  <c r="F24" i="1"/>
  <c r="F39" i="1"/>
  <c r="F97" i="1"/>
  <c r="F108" i="1"/>
  <c r="F54" i="1"/>
  <c r="F62" i="1"/>
  <c r="F63" i="1"/>
  <c r="E50" i="1"/>
  <c r="D50" i="1"/>
  <c r="C56" i="1"/>
  <c r="D56" i="1" s="1"/>
  <c r="B17" i="1" l="1"/>
  <c r="F65" i="1"/>
  <c r="F34" i="1" l="1"/>
  <c r="F107" i="1" s="1"/>
  <c r="F27" i="1" l="1"/>
  <c r="F8" i="1"/>
  <c r="F11" i="1" s="1"/>
  <c r="F43" i="1"/>
  <c r="B43" i="1"/>
  <c r="D81" i="1"/>
  <c r="E81" i="1"/>
  <c r="F105" i="1"/>
  <c r="F76" i="1"/>
  <c r="F99" i="1" s="1"/>
  <c r="F71" i="1"/>
  <c r="C42" i="1"/>
  <c r="C43" i="1" s="1"/>
  <c r="C96" i="1"/>
  <c r="E95" i="1"/>
  <c r="B95" i="1"/>
  <c r="D95" i="1" s="1"/>
  <c r="C94" i="1"/>
  <c r="B94" i="1"/>
  <c r="C93" i="1"/>
  <c r="B93" i="1"/>
  <c r="C92" i="1"/>
  <c r="B92" i="1"/>
  <c r="E91" i="1"/>
  <c r="D91" i="1"/>
  <c r="C87" i="1"/>
  <c r="B87" i="1"/>
  <c r="C79" i="1"/>
  <c r="C84" i="1" s="1"/>
  <c r="E86" i="1"/>
  <c r="E80" i="1"/>
  <c r="B80" i="1"/>
  <c r="B84" i="1" s="1"/>
  <c r="E75" i="1"/>
  <c r="B76" i="1"/>
  <c r="C73" i="1"/>
  <c r="C76" i="1" s="1"/>
  <c r="C88" i="1"/>
  <c r="C67" i="1"/>
  <c r="B67" i="1"/>
  <c r="C69" i="1"/>
  <c r="C33" i="1"/>
  <c r="B33" i="1"/>
  <c r="C32" i="1"/>
  <c r="B32" i="1"/>
  <c r="E10" i="1"/>
  <c r="D10" i="1"/>
  <c r="E9" i="1"/>
  <c r="D9" i="1"/>
  <c r="C8" i="1"/>
  <c r="E23" i="1"/>
  <c r="D23" i="1"/>
  <c r="E21" i="1"/>
  <c r="E20" i="1"/>
  <c r="D20" i="1"/>
  <c r="C19" i="1"/>
  <c r="C24" i="1" s="1"/>
  <c r="C11" i="1" l="1"/>
  <c r="C17" i="1"/>
  <c r="D17" i="1" s="1"/>
  <c r="E69" i="1"/>
  <c r="C71" i="1"/>
  <c r="D71" i="1" s="1"/>
  <c r="D80" i="1"/>
  <c r="C34" i="1"/>
  <c r="B34" i="1"/>
  <c r="F29" i="1"/>
  <c r="C97" i="1"/>
  <c r="B97" i="1"/>
  <c r="D32" i="1"/>
  <c r="D75" i="1"/>
  <c r="E76" i="1"/>
  <c r="E87" i="1"/>
  <c r="D93" i="1"/>
  <c r="D42" i="1"/>
  <c r="E92" i="1"/>
  <c r="E94" i="1"/>
  <c r="D11" i="1"/>
  <c r="E79" i="1"/>
  <c r="E84" i="1" s="1"/>
  <c r="B39" i="1"/>
  <c r="D33" i="1"/>
  <c r="E67" i="1"/>
  <c r="D79" i="1"/>
  <c r="D87" i="1"/>
  <c r="D19" i="1"/>
  <c r="E33" i="1"/>
  <c r="E56" i="1"/>
  <c r="E93" i="1"/>
  <c r="E96" i="1"/>
  <c r="E19" i="1"/>
  <c r="E32" i="1"/>
  <c r="D92" i="1"/>
  <c r="D94" i="1"/>
  <c r="D76" i="1"/>
  <c r="D69" i="1"/>
  <c r="D96" i="1"/>
  <c r="E42" i="1"/>
  <c r="E71" i="1"/>
  <c r="D8" i="1"/>
  <c r="C39" i="1"/>
  <c r="D67" i="1"/>
  <c r="D73" i="1"/>
  <c r="D21" i="1"/>
  <c r="E8" i="1"/>
  <c r="D88" i="1"/>
  <c r="E73" i="1"/>
  <c r="E88" i="1"/>
  <c r="F106" i="1" l="1"/>
  <c r="F45" i="1"/>
  <c r="F102" i="1" s="1"/>
  <c r="D84" i="1"/>
  <c r="B99" i="1"/>
  <c r="C99" i="1"/>
  <c r="C45" i="1"/>
  <c r="E34" i="1"/>
  <c r="D34" i="1"/>
  <c r="B45" i="1"/>
  <c r="E11" i="1"/>
  <c r="E39" i="1"/>
  <c r="E24" i="1"/>
  <c r="D24" i="1"/>
  <c r="D39" i="1"/>
  <c r="E43" i="1"/>
  <c r="D43" i="1"/>
  <c r="D45" i="1" l="1"/>
  <c r="C102" i="1"/>
  <c r="E45" i="1"/>
  <c r="B102" i="1"/>
  <c r="E97" i="1"/>
  <c r="E99" i="1" s="1"/>
  <c r="D97" i="1"/>
  <c r="D99" i="1" s="1"/>
  <c r="D102" i="1" l="1"/>
  <c r="E102" i="1" l="1"/>
</calcChain>
</file>

<file path=xl/sharedStrings.xml><?xml version="1.0" encoding="utf-8"?>
<sst xmlns="http://schemas.openxmlformats.org/spreadsheetml/2006/main" count="99" uniqueCount="95">
  <si>
    <t>% of Budget</t>
  </si>
  <si>
    <t>Revenue</t>
  </si>
  <si>
    <t xml:space="preserve">   Fall Conference Revenues</t>
  </si>
  <si>
    <t xml:space="preserve">      CGFOA Conference Attendee - Registrations</t>
  </si>
  <si>
    <t xml:space="preserve">      CGFOA Conference Sponsorship</t>
  </si>
  <si>
    <t xml:space="preserve">      Pre-Conference - Tours</t>
  </si>
  <si>
    <t xml:space="preserve">   Total Fall Conference Revenues</t>
  </si>
  <si>
    <t xml:space="preserve">   Membership Dues</t>
  </si>
  <si>
    <t xml:space="preserve">      Dues Active Government Members</t>
  </si>
  <si>
    <t xml:space="preserve">      Dues Associate Non-government Members</t>
  </si>
  <si>
    <t xml:space="preserve">   Total Membership Dues</t>
  </si>
  <si>
    <t xml:space="preserve">      Golf Tournament Registrations</t>
  </si>
  <si>
    <t xml:space="preserve">      Golf Tournament Sponsorships</t>
  </si>
  <si>
    <t>Total Revenue</t>
  </si>
  <si>
    <t xml:space="preserve">   Social and Networking Event Expense</t>
  </si>
  <si>
    <t xml:space="preserve">   Total Social and Networking Event Expense</t>
  </si>
  <si>
    <t xml:space="preserve">      Instructors and Speakers</t>
  </si>
  <si>
    <t>Expenditures</t>
  </si>
  <si>
    <t xml:space="preserve">   Insurance</t>
  </si>
  <si>
    <t xml:space="preserve">      Directors &amp; Officers Liability Policy</t>
  </si>
  <si>
    <t xml:space="preserve">   Total Insurance</t>
  </si>
  <si>
    <t xml:space="preserve">      Administrator</t>
  </si>
  <si>
    <t xml:space="preserve">      Awards</t>
  </si>
  <si>
    <t xml:space="preserve">      Bank Charges</t>
  </si>
  <si>
    <t xml:space="preserve">      Document Shredding</t>
  </si>
  <si>
    <t xml:space="preserve">      Office Supplies</t>
  </si>
  <si>
    <t xml:space="preserve">      Postage</t>
  </si>
  <si>
    <t xml:space="preserve">      Registrations and Licenses</t>
  </si>
  <si>
    <t xml:space="preserve">      Software</t>
  </si>
  <si>
    <t xml:space="preserve">      Telephone Expense</t>
  </si>
  <si>
    <t>Total Expenditures</t>
  </si>
  <si>
    <t>Other Revenue</t>
  </si>
  <si>
    <t xml:space="preserve">   Interest Earned</t>
  </si>
  <si>
    <t>Total Other Revenue</t>
  </si>
  <si>
    <t>Net Revenue</t>
  </si>
  <si>
    <t>Colorado GFOA</t>
  </si>
  <si>
    <t xml:space="preserve">Budget vs. Actuals: 2021 Board Approved Budget - FY21 P&amp;L </t>
  </si>
  <si>
    <t>January - December 2021</t>
  </si>
  <si>
    <t>General Liability</t>
  </si>
  <si>
    <t>over/ (under) Budget</t>
  </si>
  <si>
    <t>YTD Actual</t>
  </si>
  <si>
    <t>Annual Budget</t>
  </si>
  <si>
    <t>Proposed Budget</t>
  </si>
  <si>
    <t>GFOA Delegate Event</t>
  </si>
  <si>
    <t>Cadmium</t>
  </si>
  <si>
    <t xml:space="preserve">      Pre-Conference - Education</t>
  </si>
  <si>
    <t>Annual Education Revenues</t>
  </si>
  <si>
    <t>Online Sessions</t>
  </si>
  <si>
    <t>In Person Sessions</t>
  </si>
  <si>
    <t xml:space="preserve">   Total Annual Education Revenues</t>
  </si>
  <si>
    <t>Summer Mini Conference Revenues</t>
  </si>
  <si>
    <t>Attendee Registration</t>
  </si>
  <si>
    <t>Education Committee Planning Meeting</t>
  </si>
  <si>
    <t>Golf Tournament</t>
  </si>
  <si>
    <t>Total Other Sponsorships</t>
  </si>
  <si>
    <t xml:space="preserve">   Other Sponsorships Received</t>
  </si>
  <si>
    <t>Total Mini Conference Revenues</t>
  </si>
  <si>
    <t>Total Golf Tournament Revenues</t>
  </si>
  <si>
    <t>Annual Education Expense</t>
  </si>
  <si>
    <t xml:space="preserve">   Fall Conference Expense (see separate budget)</t>
  </si>
  <si>
    <t>Room Fees</t>
  </si>
  <si>
    <t>Meals and other costs</t>
  </si>
  <si>
    <t>Summer Mini Conference Expenses</t>
  </si>
  <si>
    <t>Breakfast</t>
  </si>
  <si>
    <t>Lunches</t>
  </si>
  <si>
    <t>Sponsorships (Breakfast/Lunch)</t>
  </si>
  <si>
    <t>Total Summer Mini Conference Expenses</t>
  </si>
  <si>
    <t>CTAC Meeting Costs</t>
  </si>
  <si>
    <t>Golf Tournament Expenses</t>
  </si>
  <si>
    <t xml:space="preserve">   Legal &amp; Professional Services</t>
  </si>
  <si>
    <t>Other Professional Services</t>
  </si>
  <si>
    <t>Bookkeeping Fees</t>
  </si>
  <si>
    <t xml:space="preserve">   Accounting and Tax Preparation Fees</t>
  </si>
  <si>
    <t>Scholarships (Education)</t>
  </si>
  <si>
    <t>Scholarships (College)</t>
  </si>
  <si>
    <t>Branding &amp; Marketing</t>
  </si>
  <si>
    <t>Total Fall Conference Expense</t>
  </si>
  <si>
    <t>Future Year Deposits (4)</t>
  </si>
  <si>
    <t>650 @ $65 each</t>
  </si>
  <si>
    <t>Depends on fee adjustments here</t>
  </si>
  <si>
    <t>CTAC Coalition Meetings Revenue</t>
  </si>
  <si>
    <t>2019 - Pueblo</t>
  </si>
  <si>
    <t>2018 - Breck</t>
  </si>
  <si>
    <t xml:space="preserve">   Fall Conference Net</t>
  </si>
  <si>
    <t>Summer Mini Conference Net</t>
  </si>
  <si>
    <t>Golf Tournament Net</t>
  </si>
  <si>
    <t>GFOA Delegate Event Net</t>
  </si>
  <si>
    <t>Other Expenses</t>
  </si>
  <si>
    <t xml:space="preserve">   Total Other Expenses</t>
  </si>
  <si>
    <t xml:space="preserve">   Total Legal &amp; Professional Services</t>
  </si>
  <si>
    <t>need to get refund from Philadelphia</t>
  </si>
  <si>
    <t>Added $5K for additional features</t>
  </si>
  <si>
    <t>conference scholarships?</t>
  </si>
  <si>
    <t>Scholarships (Conference)</t>
  </si>
  <si>
    <t>10 @ $350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</si>
</sst>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\ _€"/>
    <numFmt numFmtId="165" formatCode="#,##0\ _€"/>
    <numFmt numFmtId="166" formatCode="_(* #,##0_);_(* \(#,##0\);_(* &quot;-&quot;??_);_(@_)"/>
    <numFmt numFmtId="167" formatCode="&quot;$&quot;* #,##0.00\ _€"/>
  </numFmts>
  <fonts count="14" x14ac:knownFonts="1">
    <font>
      <sz val="11"/>
      <color indexed="8"/>
      <name val="Calibri"/>
      <family val="2"/>
      <scheme val="minor"/>
    </font>
    <font>
      <b/>
      <sz val="8"/>
      <color indexed="8"/>
      <name val="Arial"/>
    </font>
    <font>
      <sz val="8"/>
      <color indexed="8"/>
      <name val="Arial"/>
    </font>
    <font>
      <b/>
      <sz val="14"/>
      <color indexed="8"/>
      <name val="Arial"/>
    </font>
    <font>
      <b/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11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09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left" wrapText="1"/>
    </xf>
    <xf numFmtId="0" fontId="0" fillId="0" borderId="0" xfId="0"/>
    <xf numFmtId="0" fontId="0" fillId="2" borderId="0" xfId="0" applyFill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left" wrapText="1" indent="1"/>
    </xf>
    <xf numFmtId="0" fontId="8" fillId="0" borderId="0" xfId="0" applyFont="1" applyAlignment="1">
      <alignment horizontal="left" wrapText="1" indent="2"/>
    </xf>
    <xf numFmtId="0" fontId="10" fillId="0" borderId="0" xfId="0" applyFont="1" applyAlignment="1">
      <alignment horizontal="left"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left" wrapText="1" indent="1"/>
    </xf>
    <xf numFmtId="0" fontId="11" fillId="3" borderId="0" xfId="0" applyFont="1" applyFill="1" applyAlignment="1">
      <alignment horizontal="left" wrapText="1"/>
    </xf>
    <xf numFmtId="164" fontId="12" fillId="3" borderId="0" xfId="0" applyNumberFormat="1" applyFont="1" applyFill="1" applyAlignment="1">
      <alignment wrapText="1"/>
    </xf>
    <xf numFmtId="0" fontId="13" fillId="2" borderId="0" xfId="0" applyFont="1" applyFill="1" applyBorder="1" applyAlignment="1">
      <alignment horizontal="center" wrapText="1"/>
    </xf>
    <xf numFmtId="0" fontId="13" fillId="0" borderId="0" xfId="0" applyFont="1" applyBorder="1" applyAlignment="1">
      <alignment horizontal="center" wrapText="1"/>
    </xf>
    <xf numFmtId="165" fontId="2" fillId="0" borderId="0" xfId="0" applyNumberFormat="1" applyFont="1" applyAlignment="1">
      <alignment wrapText="1"/>
    </xf>
    <xf numFmtId="165" fontId="2" fillId="0" borderId="0" xfId="0" applyNumberFormat="1" applyFont="1" applyAlignment="1">
      <alignment horizontal="right" wrapText="1"/>
    </xf>
    <xf numFmtId="165" fontId="8" fillId="2" borderId="0" xfId="0" applyNumberFormat="1" applyFont="1" applyFill="1" applyAlignment="1">
      <alignment horizontal="right" wrapText="1"/>
    </xf>
    <xf numFmtId="165" fontId="2" fillId="2" borderId="0" xfId="0" applyNumberFormat="1" applyFont="1" applyFill="1" applyAlignment="1">
      <alignment horizontal="right" wrapText="1"/>
    </xf>
    <xf numFmtId="165" fontId="2" fillId="2" borderId="0" xfId="0" applyNumberFormat="1" applyFont="1" applyFill="1" applyAlignment="1">
      <alignment wrapText="1"/>
    </xf>
    <xf numFmtId="165" fontId="1" fillId="0" borderId="1" xfId="0" applyNumberFormat="1" applyFont="1" applyBorder="1" applyAlignment="1">
      <alignment horizontal="right" wrapText="1"/>
    </xf>
    <xf numFmtId="165" fontId="1" fillId="2" borderId="1" xfId="0" applyNumberFormat="1" applyFont="1" applyFill="1" applyBorder="1" applyAlignment="1">
      <alignment horizontal="right" wrapText="1"/>
    </xf>
    <xf numFmtId="165" fontId="1" fillId="0" borderId="0" xfId="0" applyNumberFormat="1" applyFont="1" applyBorder="1" applyAlignment="1">
      <alignment horizontal="right" wrapText="1"/>
    </xf>
    <xf numFmtId="165" fontId="1" fillId="2" borderId="0" xfId="0" applyNumberFormat="1" applyFont="1" applyFill="1" applyBorder="1" applyAlignment="1">
      <alignment horizontal="right" wrapText="1"/>
    </xf>
    <xf numFmtId="165" fontId="10" fillId="0" borderId="0" xfId="0" applyNumberFormat="1" applyFont="1" applyBorder="1" applyAlignment="1">
      <alignment horizontal="right" wrapText="1"/>
    </xf>
    <xf numFmtId="165" fontId="10" fillId="2" borderId="0" xfId="0" applyNumberFormat="1" applyFont="1" applyFill="1" applyBorder="1" applyAlignment="1">
      <alignment horizontal="right" wrapText="1"/>
    </xf>
    <xf numFmtId="165" fontId="12" fillId="3" borderId="0" xfId="0" applyNumberFormat="1" applyFont="1" applyFill="1" applyAlignment="1">
      <alignment wrapText="1"/>
    </xf>
    <xf numFmtId="165" fontId="8" fillId="0" borderId="0" xfId="0" applyNumberFormat="1" applyFont="1" applyAlignment="1">
      <alignment horizontal="right" wrapText="1"/>
    </xf>
    <xf numFmtId="165" fontId="7" fillId="0" borderId="0" xfId="0" applyNumberFormat="1" applyFont="1" applyAlignment="1">
      <alignment horizontal="right" wrapText="1"/>
    </xf>
    <xf numFmtId="165" fontId="7" fillId="2" borderId="0" xfId="0" applyNumberFormat="1" applyFont="1" applyFill="1" applyAlignment="1">
      <alignment horizontal="right" wrapText="1"/>
    </xf>
    <xf numFmtId="9" fontId="2" fillId="0" borderId="0" xfId="1" applyFont="1" applyAlignment="1">
      <alignment horizontal="right" wrapText="1"/>
    </xf>
    <xf numFmtId="9" fontId="1" fillId="0" borderId="1" xfId="1" applyFont="1" applyBorder="1" applyAlignment="1">
      <alignment horizontal="right" wrapText="1"/>
    </xf>
    <xf numFmtId="9" fontId="1" fillId="0" borderId="0" xfId="1" applyFont="1" applyBorder="1" applyAlignment="1">
      <alignment horizontal="right" wrapText="1"/>
    </xf>
    <xf numFmtId="9" fontId="10" fillId="0" borderId="0" xfId="1" applyFont="1" applyBorder="1" applyAlignment="1">
      <alignment horizontal="right" wrapText="1"/>
    </xf>
    <xf numFmtId="9" fontId="12" fillId="3" borderId="0" xfId="1" applyFont="1" applyFill="1" applyAlignment="1">
      <alignment wrapText="1"/>
    </xf>
    <xf numFmtId="9" fontId="8" fillId="0" borderId="0" xfId="1" applyFont="1" applyAlignment="1">
      <alignment horizontal="right" wrapText="1"/>
    </xf>
    <xf numFmtId="9" fontId="2" fillId="0" borderId="0" xfId="1" applyFont="1" applyAlignment="1">
      <alignment wrapText="1"/>
    </xf>
    <xf numFmtId="9" fontId="7" fillId="0" borderId="0" xfId="1" applyFont="1" applyAlignment="1">
      <alignment horizontal="right" wrapText="1"/>
    </xf>
    <xf numFmtId="165" fontId="9" fillId="4" borderId="2" xfId="0" applyNumberFormat="1" applyFont="1" applyFill="1" applyBorder="1" applyAlignment="1">
      <alignment horizontal="right" wrapText="1"/>
    </xf>
    <xf numFmtId="9" fontId="9" fillId="4" borderId="2" xfId="1" applyFont="1" applyFill="1" applyBorder="1" applyAlignment="1">
      <alignment horizontal="right" wrapText="1"/>
    </xf>
    <xf numFmtId="0" fontId="9" fillId="4" borderId="2" xfId="0" applyFont="1" applyFill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7" fillId="0" borderId="0" xfId="0" applyFont="1" applyBorder="1"/>
    <xf numFmtId="0" fontId="0" fillId="0" borderId="0" xfId="0" applyBorder="1"/>
    <xf numFmtId="164" fontId="2" fillId="0" borderId="0" xfId="0" applyNumberFormat="1" applyFont="1" applyBorder="1" applyAlignment="1">
      <alignment wrapText="1"/>
    </xf>
    <xf numFmtId="0" fontId="1" fillId="5" borderId="0" xfId="0" applyFont="1" applyFill="1" applyAlignment="1">
      <alignment horizontal="left" wrapText="1"/>
    </xf>
    <xf numFmtId="165" fontId="2" fillId="5" borderId="0" xfId="0" applyNumberFormat="1" applyFont="1" applyFill="1" applyAlignment="1">
      <alignment wrapText="1"/>
    </xf>
    <xf numFmtId="165" fontId="2" fillId="5" borderId="0" xfId="0" applyNumberFormat="1" applyFont="1" applyFill="1" applyAlignment="1">
      <alignment horizontal="right" wrapText="1"/>
    </xf>
    <xf numFmtId="9" fontId="2" fillId="5" borderId="0" xfId="1" applyFont="1" applyFill="1" applyAlignment="1">
      <alignment horizontal="right" wrapText="1"/>
    </xf>
    <xf numFmtId="0" fontId="1" fillId="5" borderId="0" xfId="0" applyFont="1" applyFill="1" applyAlignment="1">
      <alignment horizontal="right" wrapText="1"/>
    </xf>
    <xf numFmtId="165" fontId="1" fillId="5" borderId="1" xfId="0" applyNumberFormat="1" applyFont="1" applyFill="1" applyBorder="1" applyAlignment="1">
      <alignment horizontal="right" wrapText="1"/>
    </xf>
    <xf numFmtId="9" fontId="1" fillId="5" borderId="1" xfId="1" applyFont="1" applyFill="1" applyBorder="1" applyAlignment="1">
      <alignment horizontal="right" wrapText="1"/>
    </xf>
    <xf numFmtId="165" fontId="2" fillId="0" borderId="3" xfId="0" applyNumberFormat="1" applyFont="1" applyBorder="1" applyAlignment="1">
      <alignment wrapText="1"/>
    </xf>
    <xf numFmtId="165" fontId="2" fillId="0" borderId="3" xfId="0" applyNumberFormat="1" applyFont="1" applyBorder="1" applyAlignment="1">
      <alignment horizontal="right" wrapText="1"/>
    </xf>
    <xf numFmtId="9" fontId="2" fillId="0" borderId="3" xfId="1" applyFont="1" applyBorder="1" applyAlignment="1">
      <alignment horizontal="right" wrapText="1"/>
    </xf>
    <xf numFmtId="165" fontId="7" fillId="2" borderId="3" xfId="0" applyNumberFormat="1" applyFont="1" applyFill="1" applyBorder="1" applyAlignment="1">
      <alignment horizontal="right" wrapText="1"/>
    </xf>
    <xf numFmtId="0" fontId="8" fillId="0" borderId="0" xfId="0" applyFont="1" applyAlignment="1">
      <alignment horizontal="right" wrapText="1"/>
    </xf>
    <xf numFmtId="0" fontId="1" fillId="0" borderId="0" xfId="0" applyFont="1" applyAlignment="1">
      <alignment horizontal="left" wrapText="1" indent="2"/>
    </xf>
    <xf numFmtId="0" fontId="8" fillId="0" borderId="0" xfId="0" applyFont="1" applyAlignment="1">
      <alignment horizontal="left" wrapText="1"/>
    </xf>
    <xf numFmtId="0" fontId="8" fillId="6" borderId="0" xfId="0" applyFont="1" applyFill="1" applyAlignment="1">
      <alignment horizontal="left" wrapText="1" indent="1"/>
    </xf>
    <xf numFmtId="165" fontId="1" fillId="6" borderId="0" xfId="0" applyNumberFormat="1" applyFont="1" applyFill="1" applyBorder="1" applyAlignment="1">
      <alignment horizontal="right" wrapText="1"/>
    </xf>
    <xf numFmtId="9" fontId="1" fillId="6" borderId="0" xfId="1" applyFont="1" applyFill="1" applyBorder="1" applyAlignment="1">
      <alignment horizontal="right" wrapText="1"/>
    </xf>
    <xf numFmtId="0" fontId="8" fillId="6" borderId="0" xfId="0" applyFont="1" applyFill="1" applyAlignment="1">
      <alignment horizontal="left" wrapText="1" indent="2"/>
    </xf>
    <xf numFmtId="165" fontId="7" fillId="6" borderId="0" xfId="0" applyNumberFormat="1" applyFont="1" applyFill="1" applyBorder="1" applyAlignment="1">
      <alignment horizontal="right" wrapText="1"/>
    </xf>
    <xf numFmtId="165" fontId="1" fillId="6" borderId="3" xfId="0" applyNumberFormat="1" applyFont="1" applyFill="1" applyBorder="1" applyAlignment="1">
      <alignment horizontal="right" wrapText="1"/>
    </xf>
    <xf numFmtId="9" fontId="1" fillId="6" borderId="3" xfId="1" applyFont="1" applyFill="1" applyBorder="1" applyAlignment="1">
      <alignment horizontal="right" wrapText="1"/>
    </xf>
    <xf numFmtId="165" fontId="7" fillId="6" borderId="3" xfId="0" applyNumberFormat="1" applyFont="1" applyFill="1" applyBorder="1" applyAlignment="1">
      <alignment horizontal="right" wrapText="1"/>
    </xf>
    <xf numFmtId="0" fontId="1" fillId="7" borderId="0" xfId="0" applyFont="1" applyFill="1" applyAlignment="1">
      <alignment horizontal="left" wrapText="1" indent="1"/>
    </xf>
    <xf numFmtId="165" fontId="1" fillId="7" borderId="0" xfId="0" applyNumberFormat="1" applyFont="1" applyFill="1" applyBorder="1" applyAlignment="1">
      <alignment horizontal="right" wrapText="1"/>
    </xf>
    <xf numFmtId="9" fontId="1" fillId="7" borderId="0" xfId="1" applyFont="1" applyFill="1" applyBorder="1" applyAlignment="1">
      <alignment horizontal="right" wrapText="1"/>
    </xf>
    <xf numFmtId="0" fontId="1" fillId="7" borderId="0" xfId="0" applyFont="1" applyFill="1" applyAlignment="1">
      <alignment horizontal="left" wrapText="1"/>
    </xf>
    <xf numFmtId="165" fontId="2" fillId="7" borderId="0" xfId="0" applyNumberFormat="1" applyFont="1" applyFill="1" applyAlignment="1">
      <alignment horizontal="right" wrapText="1"/>
    </xf>
    <xf numFmtId="9" fontId="2" fillId="7" borderId="0" xfId="1" applyFont="1" applyFill="1" applyAlignment="1">
      <alignment horizontal="right" wrapText="1"/>
    </xf>
    <xf numFmtId="165" fontId="2" fillId="7" borderId="3" xfId="0" applyNumberFormat="1" applyFont="1" applyFill="1" applyBorder="1" applyAlignment="1">
      <alignment horizontal="right" wrapText="1"/>
    </xf>
    <xf numFmtId="9" fontId="2" fillId="7" borderId="3" xfId="1" applyFont="1" applyFill="1" applyBorder="1" applyAlignment="1">
      <alignment horizontal="right" wrapText="1"/>
    </xf>
    <xf numFmtId="165" fontId="8" fillId="7" borderId="0" xfId="0" applyNumberFormat="1" applyFont="1" applyFill="1" applyAlignment="1">
      <alignment horizontal="right" wrapText="1"/>
    </xf>
    <xf numFmtId="0" fontId="8" fillId="6" borderId="0" xfId="0" applyFont="1" applyFill="1" applyAlignment="1">
      <alignment horizontal="right" wrapText="1"/>
    </xf>
    <xf numFmtId="0" fontId="8" fillId="7" borderId="0" xfId="0" applyFont="1" applyFill="1" applyAlignment="1">
      <alignment horizontal="right" wrapText="1"/>
    </xf>
    <xf numFmtId="165" fontId="8" fillId="0" borderId="3" xfId="0" applyNumberFormat="1" applyFont="1" applyBorder="1" applyAlignment="1">
      <alignment horizontal="right" wrapText="1"/>
    </xf>
    <xf numFmtId="9" fontId="8" fillId="0" borderId="3" xfId="1" applyFont="1" applyBorder="1" applyAlignment="1">
      <alignment horizontal="right" wrapText="1"/>
    </xf>
    <xf numFmtId="165" fontId="2" fillId="2" borderId="3" xfId="0" applyNumberFormat="1" applyFont="1" applyFill="1" applyBorder="1" applyAlignment="1">
      <alignment wrapText="1"/>
    </xf>
    <xf numFmtId="0" fontId="8" fillId="5" borderId="0" xfId="0" applyFont="1" applyFill="1" applyAlignment="1">
      <alignment horizontal="left" wrapText="1"/>
    </xf>
    <xf numFmtId="0" fontId="8" fillId="6" borderId="0" xfId="0" applyFont="1" applyFill="1" applyAlignment="1">
      <alignment horizontal="right" wrapText="1" indent="1"/>
    </xf>
    <xf numFmtId="0" fontId="8" fillId="7" borderId="0" xfId="0" applyFont="1" applyFill="1" applyAlignment="1">
      <alignment horizontal="left" wrapText="1" indent="1"/>
    </xf>
    <xf numFmtId="0" fontId="8" fillId="5" borderId="0" xfId="0" applyFont="1" applyFill="1" applyAlignment="1">
      <alignment horizontal="left" wrapText="1" indent="1"/>
    </xf>
    <xf numFmtId="0" fontId="8" fillId="5" borderId="0" xfId="0" applyFont="1" applyFill="1" applyAlignment="1">
      <alignment horizontal="right" wrapText="1" indent="1"/>
    </xf>
    <xf numFmtId="165" fontId="2" fillId="5" borderId="3" xfId="0" applyNumberFormat="1" applyFont="1" applyFill="1" applyBorder="1" applyAlignment="1">
      <alignment wrapText="1"/>
    </xf>
    <xf numFmtId="165" fontId="2" fillId="5" borderId="3" xfId="0" applyNumberFormat="1" applyFont="1" applyFill="1" applyBorder="1" applyAlignment="1">
      <alignment horizontal="right" wrapText="1"/>
    </xf>
    <xf numFmtId="9" fontId="2" fillId="5" borderId="3" xfId="1" applyFont="1" applyFill="1" applyBorder="1" applyAlignment="1">
      <alignment horizontal="right" wrapText="1"/>
    </xf>
    <xf numFmtId="165" fontId="8" fillId="5" borderId="0" xfId="0" applyNumberFormat="1" applyFont="1" applyFill="1" applyAlignment="1">
      <alignment horizontal="right" wrapText="1"/>
    </xf>
    <xf numFmtId="166" fontId="0" fillId="0" borderId="0" xfId="2" applyNumberFormat="1" applyFont="1"/>
    <xf numFmtId="165" fontId="8" fillId="5" borderId="0" xfId="0" applyNumberFormat="1" applyFont="1" applyFill="1" applyAlignment="1">
      <alignment wrapText="1"/>
    </xf>
    <xf numFmtId="0" fontId="8" fillId="8" borderId="0" xfId="0" applyFont="1" applyFill="1" applyAlignment="1">
      <alignment horizontal="left" wrapText="1" indent="1"/>
    </xf>
    <xf numFmtId="165" fontId="2" fillId="8" borderId="0" xfId="0" applyNumberFormat="1" applyFont="1" applyFill="1" applyAlignment="1">
      <alignment horizontal="right" wrapText="1"/>
    </xf>
    <xf numFmtId="9" fontId="2" fillId="8" borderId="0" xfId="1" applyFont="1" applyFill="1" applyAlignment="1">
      <alignment horizontal="right" wrapText="1"/>
    </xf>
    <xf numFmtId="165" fontId="8" fillId="8" borderId="0" xfId="0" applyNumberFormat="1" applyFont="1" applyFill="1" applyAlignment="1">
      <alignment horizontal="right" wrapText="1"/>
    </xf>
    <xf numFmtId="0" fontId="1" fillId="8" borderId="0" xfId="0" applyFont="1" applyFill="1" applyAlignment="1">
      <alignment horizontal="left" wrapText="1" indent="1"/>
    </xf>
    <xf numFmtId="0" fontId="0" fillId="8" borderId="0" xfId="0" applyFill="1"/>
    <xf numFmtId="0" fontId="1" fillId="8" borderId="0" xfId="0" applyFont="1" applyFill="1" applyAlignment="1">
      <alignment horizontal="left" wrapText="1" indent="2"/>
    </xf>
    <xf numFmtId="165" fontId="2" fillId="8" borderId="0" xfId="0" applyNumberFormat="1" applyFont="1" applyFill="1" applyAlignment="1">
      <alignment wrapText="1"/>
    </xf>
    <xf numFmtId="0" fontId="0" fillId="0" borderId="0" xfId="0"/>
    <xf numFmtId="164" fontId="2" fillId="0" borderId="0" xfId="0" applyNumberFormat="1" applyFont="1" applyAlignment="1">
      <alignment horizontal="right" wrapText="1"/>
    </xf>
    <xf numFmtId="167" fontId="1" fillId="0" borderId="1" xfId="0" applyNumberFormat="1" applyFont="1" applyBorder="1" applyAlignment="1">
      <alignment horizontal="right" wrapText="1"/>
    </xf>
    <xf numFmtId="0" fontId="13" fillId="0" borderId="0" xfId="0" applyFont="1" applyBorder="1" applyAlignment="1">
      <alignment horizontal="center" wrapText="1"/>
    </xf>
    <xf numFmtId="0" fontId="0" fillId="0" borderId="0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8"/>
  <sheetViews>
    <sheetView tabSelected="1" zoomScale="120" zoomScaleNormal="120" workbookViewId="0">
      <pane ySplit="6" topLeftCell="A19" activePane="bottomLeft" state="frozen"/>
      <selection pane="bottomLeft" activeCell="H25" sqref="H25"/>
    </sheetView>
  </sheetViews>
  <sheetFormatPr defaultRowHeight="14.4" x14ac:dyDescent="0.3"/>
  <cols>
    <col min="1" max="1" width="58.77734375" customWidth="1"/>
    <col min="2" max="3" width="12" hidden="1" customWidth="1"/>
    <col min="4" max="4" width="12.6640625" hidden="1" customWidth="1"/>
    <col min="5" max="5" width="10.6640625" hidden="1" customWidth="1"/>
    <col min="6" max="6" width="12" bestFit="1" customWidth="1"/>
    <col min="8" max="8" width="14.44140625" bestFit="1" customWidth="1"/>
    <col min="9" max="9" width="11.5546875" bestFit="1" customWidth="1"/>
  </cols>
  <sheetData>
    <row r="1" spans="1:8" ht="17.399999999999999" x14ac:dyDescent="0.3">
      <c r="A1" s="106" t="s">
        <v>35</v>
      </c>
      <c r="B1" s="107"/>
      <c r="C1" s="107"/>
      <c r="D1" s="107"/>
      <c r="E1" s="107"/>
      <c r="F1" s="4"/>
    </row>
    <row r="2" spans="1:8" ht="17.399999999999999" x14ac:dyDescent="0.3">
      <c r="A2" s="106" t="s">
        <v>36</v>
      </c>
      <c r="B2" s="107"/>
      <c r="C2" s="107"/>
      <c r="D2" s="107"/>
      <c r="E2" s="107"/>
      <c r="F2" s="4"/>
    </row>
    <row r="3" spans="1:8" x14ac:dyDescent="0.3">
      <c r="A3" s="108" t="s">
        <v>37</v>
      </c>
      <c r="B3" s="107"/>
      <c r="C3" s="107"/>
      <c r="D3" s="107"/>
      <c r="E3" s="107"/>
      <c r="F3" s="4"/>
    </row>
    <row r="4" spans="1:8" x14ac:dyDescent="0.3">
      <c r="F4" s="4"/>
    </row>
    <row r="5" spans="1:8" x14ac:dyDescent="0.3">
      <c r="A5" s="1"/>
      <c r="B5" s="104">
        <v>2021</v>
      </c>
      <c r="C5" s="105"/>
      <c r="D5" s="105"/>
      <c r="E5" s="105"/>
      <c r="F5" s="14">
        <v>2022</v>
      </c>
    </row>
    <row r="6" spans="1:8" ht="39.9" customHeight="1" x14ac:dyDescent="0.3">
      <c r="A6" s="1"/>
      <c r="B6" s="15" t="s">
        <v>40</v>
      </c>
      <c r="C6" s="15" t="s">
        <v>41</v>
      </c>
      <c r="D6" s="15" t="s">
        <v>39</v>
      </c>
      <c r="E6" s="15" t="s">
        <v>0</v>
      </c>
      <c r="F6" s="14" t="s">
        <v>42</v>
      </c>
    </row>
    <row r="7" spans="1:8" ht="15.6" x14ac:dyDescent="0.3">
      <c r="A7" s="12" t="s">
        <v>1</v>
      </c>
      <c r="B7" s="13"/>
      <c r="C7" s="13"/>
      <c r="D7" s="13"/>
      <c r="E7" s="13"/>
      <c r="F7" s="13"/>
    </row>
    <row r="8" spans="1:8" x14ac:dyDescent="0.3">
      <c r="A8" s="2" t="s">
        <v>7</v>
      </c>
      <c r="B8" s="102">
        <f>4246.58</f>
        <v>4246.58</v>
      </c>
      <c r="C8" s="17">
        <f>25500</f>
        <v>25500</v>
      </c>
      <c r="D8" s="17">
        <f>(B8)-(C8)</f>
        <v>-21253.42</v>
      </c>
      <c r="E8" s="31">
        <f>IF(C8=0,"",(B8)/(C8))</f>
        <v>0.16653254901960785</v>
      </c>
      <c r="F8" s="19">
        <f>650*65</f>
        <v>42250</v>
      </c>
      <c r="G8" s="6"/>
      <c r="H8" t="s">
        <v>78</v>
      </c>
    </row>
    <row r="9" spans="1:8" x14ac:dyDescent="0.3">
      <c r="A9" s="2" t="s">
        <v>8</v>
      </c>
      <c r="B9" s="102">
        <f>23902.57</f>
        <v>23902.57</v>
      </c>
      <c r="C9" s="16"/>
      <c r="D9" s="17">
        <f>(B9)-(C9)</f>
        <v>23902.57</v>
      </c>
      <c r="E9" s="31" t="str">
        <f>IF(C9=0,"",(B9)/(C9))</f>
        <v/>
      </c>
      <c r="F9" s="20"/>
      <c r="G9" s="6"/>
    </row>
    <row r="10" spans="1:8" x14ac:dyDescent="0.3">
      <c r="A10" s="2" t="s">
        <v>9</v>
      </c>
      <c r="B10" s="102">
        <f>2102.33</f>
        <v>2102.33</v>
      </c>
      <c r="C10" s="16"/>
      <c r="D10" s="17">
        <f>(B10)-(C10)</f>
        <v>2102.33</v>
      </c>
      <c r="E10" s="31" t="str">
        <f>IF(C10=0,"",(B10)/(C10))</f>
        <v/>
      </c>
      <c r="F10" s="20"/>
      <c r="G10" s="6"/>
    </row>
    <row r="11" spans="1:8" x14ac:dyDescent="0.3">
      <c r="A11" s="10" t="s">
        <v>10</v>
      </c>
      <c r="B11" s="103">
        <f>((B8)+(B9))+(B10)</f>
        <v>30251.480000000003</v>
      </c>
      <c r="C11" s="21">
        <f>((C8)+(C9))+(C10)</f>
        <v>25500</v>
      </c>
      <c r="D11" s="21">
        <f>(B11)-(C11)</f>
        <v>4751.4800000000032</v>
      </c>
      <c r="E11" s="32">
        <f>IF(C11=0,"",(B11)/(C11))</f>
        <v>1.1863325490196079</v>
      </c>
      <c r="F11" s="22">
        <f>SUM(F8:F10)</f>
        <v>42250</v>
      </c>
      <c r="G11" s="6"/>
    </row>
    <row r="12" spans="1:8" x14ac:dyDescent="0.3">
      <c r="A12" s="2"/>
      <c r="B12" s="16"/>
      <c r="C12" s="17"/>
      <c r="D12" s="17"/>
      <c r="E12" s="31"/>
      <c r="F12" s="18"/>
      <c r="G12" s="6"/>
    </row>
    <row r="13" spans="1:8" s="3" customFormat="1" x14ac:dyDescent="0.3">
      <c r="A13" s="11" t="s">
        <v>46</v>
      </c>
      <c r="B13" s="16"/>
      <c r="C13" s="17"/>
      <c r="D13" s="17"/>
      <c r="E13" s="31"/>
      <c r="F13" s="18"/>
      <c r="G13" s="6"/>
    </row>
    <row r="14" spans="1:8" s="3" customFormat="1" x14ac:dyDescent="0.3">
      <c r="A14" s="58" t="s">
        <v>47</v>
      </c>
      <c r="B14" s="16"/>
      <c r="C14" s="17"/>
      <c r="D14" s="17"/>
      <c r="E14" s="31"/>
      <c r="F14" s="30">
        <v>20000</v>
      </c>
      <c r="G14" s="6"/>
    </row>
    <row r="15" spans="1:8" s="3" customFormat="1" x14ac:dyDescent="0.3">
      <c r="A15" s="58" t="s">
        <v>48</v>
      </c>
      <c r="B15" s="16"/>
      <c r="C15" s="17"/>
      <c r="D15" s="17"/>
      <c r="E15" s="31"/>
      <c r="F15" s="30">
        <v>10000</v>
      </c>
      <c r="G15" s="6"/>
      <c r="H15" s="3">
        <f>75*35*4</f>
        <v>10500</v>
      </c>
    </row>
    <row r="16" spans="1:8" x14ac:dyDescent="0.3">
      <c r="A16" s="8" t="s">
        <v>80</v>
      </c>
      <c r="B16" s="53"/>
      <c r="C16" s="54"/>
      <c r="D16" s="54"/>
      <c r="E16" s="55"/>
      <c r="F16" s="56">
        <v>10000</v>
      </c>
      <c r="G16" s="6"/>
      <c r="H16" t="s">
        <v>79</v>
      </c>
    </row>
    <row r="17" spans="1:13" s="3" customFormat="1" x14ac:dyDescent="0.3">
      <c r="A17" s="57" t="s">
        <v>49</v>
      </c>
      <c r="B17" s="103">
        <f>(((((B7)+(B8))+(B9))+(B14))+(B15))+(B16)</f>
        <v>28149.15</v>
      </c>
      <c r="C17" s="103">
        <f>(((((C7)+(C8))+(C9))+(C14))+(C15))+(C16)</f>
        <v>25500</v>
      </c>
      <c r="D17" s="17">
        <f>B17-C17</f>
        <v>2649.1500000000015</v>
      </c>
      <c r="E17" s="31"/>
      <c r="F17" s="18">
        <f>SUM(F14:F16)</f>
        <v>40000</v>
      </c>
      <c r="G17" s="6"/>
    </row>
    <row r="18" spans="1:13" s="3" customFormat="1" x14ac:dyDescent="0.3">
      <c r="A18" s="2"/>
      <c r="B18" s="16"/>
      <c r="C18" s="17"/>
      <c r="D18" s="17"/>
      <c r="E18" s="31"/>
      <c r="F18" s="18"/>
      <c r="G18" s="6"/>
    </row>
    <row r="19" spans="1:13" x14ac:dyDescent="0.3">
      <c r="A19" s="46" t="s">
        <v>2</v>
      </c>
      <c r="B19" s="47"/>
      <c r="C19" s="48">
        <f>125000</f>
        <v>125000</v>
      </c>
      <c r="D19" s="48">
        <f t="shared" ref="D19:D24" si="0">(B19)-(C19)</f>
        <v>-125000</v>
      </c>
      <c r="E19" s="49">
        <f t="shared" ref="E19:E24" si="1">IF(C19=0,"",(B19)/(C19))</f>
        <v>0</v>
      </c>
      <c r="F19" s="48"/>
      <c r="G19" s="6"/>
      <c r="H19" s="6"/>
      <c r="I19" s="6"/>
      <c r="J19" s="6"/>
      <c r="K19" s="6"/>
      <c r="L19" s="6"/>
      <c r="M19" s="6"/>
    </row>
    <row r="20" spans="1:13" x14ac:dyDescent="0.3">
      <c r="A20" s="46" t="s">
        <v>3</v>
      </c>
      <c r="B20" s="48">
        <v>86139.839999999997</v>
      </c>
      <c r="C20" s="47"/>
      <c r="D20" s="48">
        <f t="shared" si="0"/>
        <v>86139.839999999997</v>
      </c>
      <c r="E20" s="49" t="str">
        <f t="shared" si="1"/>
        <v/>
      </c>
      <c r="F20" s="47">
        <v>125000</v>
      </c>
      <c r="G20" s="6"/>
    </row>
    <row r="21" spans="1:13" x14ac:dyDescent="0.3">
      <c r="A21" s="46" t="s">
        <v>4</v>
      </c>
      <c r="B21" s="48">
        <v>84509.6</v>
      </c>
      <c r="C21" s="47"/>
      <c r="D21" s="48">
        <f t="shared" si="0"/>
        <v>84509.6</v>
      </c>
      <c r="E21" s="49" t="str">
        <f t="shared" si="1"/>
        <v/>
      </c>
      <c r="F21" s="47">
        <v>125000</v>
      </c>
      <c r="G21" s="6"/>
    </row>
    <row r="22" spans="1:13" s="3" customFormat="1" x14ac:dyDescent="0.3">
      <c r="A22" s="46" t="s">
        <v>45</v>
      </c>
      <c r="B22" s="48"/>
      <c r="C22" s="47"/>
      <c r="D22" s="48"/>
      <c r="E22" s="49"/>
      <c r="F22" s="47">
        <v>2000</v>
      </c>
      <c r="G22" s="6"/>
      <c r="H22" s="3" t="s">
        <v>81</v>
      </c>
      <c r="I22" s="91">
        <v>235000</v>
      </c>
    </row>
    <row r="23" spans="1:13" x14ac:dyDescent="0.3">
      <c r="A23" s="46" t="s">
        <v>5</v>
      </c>
      <c r="B23" s="48">
        <v>122.33</v>
      </c>
      <c r="C23" s="47"/>
      <c r="D23" s="48">
        <f t="shared" si="0"/>
        <v>122.33</v>
      </c>
      <c r="E23" s="49" t="str">
        <f t="shared" si="1"/>
        <v/>
      </c>
      <c r="F23" s="47">
        <v>500</v>
      </c>
      <c r="G23" s="6"/>
      <c r="H23" t="s">
        <v>82</v>
      </c>
      <c r="I23" s="91">
        <v>263000</v>
      </c>
    </row>
    <row r="24" spans="1:13" x14ac:dyDescent="0.3">
      <c r="A24" s="50" t="s">
        <v>6</v>
      </c>
      <c r="B24" s="51">
        <f>SUM(B20:B23)</f>
        <v>170771.77</v>
      </c>
      <c r="C24" s="51">
        <f>(((C19)+(C20))+(C21))+(C23)</f>
        <v>125000</v>
      </c>
      <c r="D24" s="51">
        <f t="shared" si="0"/>
        <v>45771.76999999999</v>
      </c>
      <c r="E24" s="52">
        <f t="shared" si="1"/>
        <v>1.3661741599999999</v>
      </c>
      <c r="F24" s="51">
        <f>SUM(F19:F23)</f>
        <v>252500</v>
      </c>
      <c r="G24" s="6"/>
    </row>
    <row r="25" spans="1:13" x14ac:dyDescent="0.3">
      <c r="A25" s="2"/>
      <c r="B25" s="23"/>
      <c r="C25" s="23"/>
      <c r="D25" s="23"/>
      <c r="E25" s="33"/>
      <c r="F25" s="24"/>
      <c r="G25" s="6"/>
    </row>
    <row r="26" spans="1:13" s="3" customFormat="1" x14ac:dyDescent="0.3">
      <c r="A26" s="60" t="s">
        <v>50</v>
      </c>
      <c r="B26" s="61"/>
      <c r="C26" s="61"/>
      <c r="D26" s="61"/>
      <c r="E26" s="62"/>
      <c r="F26" s="61"/>
      <c r="G26" s="6"/>
    </row>
    <row r="27" spans="1:13" s="3" customFormat="1" x14ac:dyDescent="0.3">
      <c r="A27" s="63" t="s">
        <v>51</v>
      </c>
      <c r="B27" s="61"/>
      <c r="C27" s="61"/>
      <c r="D27" s="61"/>
      <c r="E27" s="62"/>
      <c r="F27" s="64">
        <f>25*115</f>
        <v>2875</v>
      </c>
      <c r="G27" s="6"/>
    </row>
    <row r="28" spans="1:13" s="3" customFormat="1" x14ac:dyDescent="0.3">
      <c r="A28" s="63" t="s">
        <v>65</v>
      </c>
      <c r="B28" s="65"/>
      <c r="C28" s="65"/>
      <c r="D28" s="65"/>
      <c r="E28" s="66"/>
      <c r="F28" s="67">
        <v>2000</v>
      </c>
      <c r="G28" s="6"/>
    </row>
    <row r="29" spans="1:13" s="3" customFormat="1" x14ac:dyDescent="0.3">
      <c r="A29" s="77" t="s">
        <v>56</v>
      </c>
      <c r="B29" s="61"/>
      <c r="C29" s="61"/>
      <c r="D29" s="61"/>
      <c r="E29" s="62"/>
      <c r="F29" s="61">
        <f>SUM(F27:F28)</f>
        <v>4875</v>
      </c>
      <c r="G29" s="6"/>
    </row>
    <row r="30" spans="1:13" s="3" customFormat="1" x14ac:dyDescent="0.3">
      <c r="A30" s="2"/>
      <c r="B30" s="23"/>
      <c r="C30" s="23"/>
      <c r="D30" s="23"/>
      <c r="E30" s="33"/>
      <c r="F30" s="24"/>
      <c r="G30" s="6"/>
    </row>
    <row r="31" spans="1:13" s="3" customFormat="1" x14ac:dyDescent="0.3">
      <c r="A31" s="68" t="s">
        <v>53</v>
      </c>
      <c r="B31" s="69"/>
      <c r="C31" s="69"/>
      <c r="D31" s="69"/>
      <c r="E31" s="70"/>
      <c r="F31" s="69"/>
      <c r="G31" s="6"/>
    </row>
    <row r="32" spans="1:13" x14ac:dyDescent="0.3">
      <c r="A32" s="71" t="s">
        <v>11</v>
      </c>
      <c r="B32" s="72">
        <f>4072.28</f>
        <v>4072.28</v>
      </c>
      <c r="C32" s="72">
        <f>4000</f>
        <v>4000</v>
      </c>
      <c r="D32" s="72">
        <f>(B32)-(C32)</f>
        <v>72.2800000000002</v>
      </c>
      <c r="E32" s="73">
        <f>IF(C32=0,"",(B32)/(C32))</f>
        <v>1.01807</v>
      </c>
      <c r="F32" s="72">
        <v>5000</v>
      </c>
      <c r="G32" s="6"/>
    </row>
    <row r="33" spans="1:7" x14ac:dyDescent="0.3">
      <c r="A33" s="71" t="s">
        <v>12</v>
      </c>
      <c r="B33" s="74">
        <f>2910.3</f>
        <v>2910.3</v>
      </c>
      <c r="C33" s="74">
        <f>4000</f>
        <v>4000</v>
      </c>
      <c r="D33" s="74">
        <f>(B33)-(C33)</f>
        <v>-1089.6999999999998</v>
      </c>
      <c r="E33" s="75">
        <f>IF(C33=0,"",(B33)/(C33))</f>
        <v>0.72757500000000008</v>
      </c>
      <c r="F33" s="74">
        <v>5000</v>
      </c>
      <c r="G33" s="6"/>
    </row>
    <row r="34" spans="1:7" s="3" customFormat="1" x14ac:dyDescent="0.3">
      <c r="A34" s="78" t="s">
        <v>57</v>
      </c>
      <c r="B34" s="72">
        <f>SUM(B32:B33)</f>
        <v>6982.58</v>
      </c>
      <c r="C34" s="72">
        <f t="shared" ref="C34:E34" si="2">SUM(C32:C33)</f>
        <v>8000</v>
      </c>
      <c r="D34" s="72">
        <f t="shared" si="2"/>
        <v>-1017.4199999999996</v>
      </c>
      <c r="E34" s="72">
        <f t="shared" si="2"/>
        <v>1.7456450000000001</v>
      </c>
      <c r="F34" s="76">
        <f>SUM(F32:F33)</f>
        <v>10000</v>
      </c>
      <c r="G34" s="6"/>
    </row>
    <row r="35" spans="1:7" x14ac:dyDescent="0.3">
      <c r="A35" s="2"/>
      <c r="B35" s="16"/>
      <c r="C35" s="17"/>
      <c r="D35" s="17"/>
      <c r="E35" s="31"/>
      <c r="F35" s="18"/>
    </row>
    <row r="36" spans="1:7" s="3" customFormat="1" x14ac:dyDescent="0.3">
      <c r="A36" s="59" t="s">
        <v>55</v>
      </c>
      <c r="B36" s="16"/>
      <c r="C36" s="17"/>
      <c r="D36" s="17"/>
      <c r="E36" s="31"/>
      <c r="F36" s="18"/>
      <c r="G36" s="6"/>
    </row>
    <row r="37" spans="1:7" s="3" customFormat="1" x14ac:dyDescent="0.3">
      <c r="A37" s="58" t="s">
        <v>52</v>
      </c>
      <c r="B37" s="16"/>
      <c r="C37" s="17"/>
      <c r="D37" s="17"/>
      <c r="E37" s="31"/>
      <c r="F37" s="30">
        <v>1000</v>
      </c>
      <c r="G37" s="6"/>
    </row>
    <row r="38" spans="1:7" s="3" customFormat="1" x14ac:dyDescent="0.3">
      <c r="A38" s="99" t="s">
        <v>43</v>
      </c>
      <c r="B38" s="100"/>
      <c r="C38" s="94"/>
      <c r="D38" s="94"/>
      <c r="E38" s="95"/>
      <c r="F38" s="94">
        <v>10000</v>
      </c>
      <c r="G38" s="6"/>
    </row>
    <row r="39" spans="1:7" x14ac:dyDescent="0.3">
      <c r="A39" s="57" t="s">
        <v>54</v>
      </c>
      <c r="B39" s="21">
        <f>(B38)+(B32)</f>
        <v>4072.28</v>
      </c>
      <c r="C39" s="21">
        <f>(C38)+(C32)</f>
        <v>4000</v>
      </c>
      <c r="D39" s="21">
        <f>(B39)-(C39)</f>
        <v>72.2800000000002</v>
      </c>
      <c r="E39" s="32">
        <f>IF(C39=0,"",(B39)/(C39))</f>
        <v>1.01807</v>
      </c>
      <c r="F39" s="22">
        <f>SUM(F37:F38)</f>
        <v>11000</v>
      </c>
    </row>
    <row r="40" spans="1:7" x14ac:dyDescent="0.3">
      <c r="A40" s="2"/>
      <c r="B40" s="23"/>
      <c r="C40" s="23"/>
      <c r="D40" s="23"/>
      <c r="E40" s="33"/>
      <c r="F40" s="24"/>
      <c r="G40" s="6"/>
    </row>
    <row r="41" spans="1:7" x14ac:dyDescent="0.3">
      <c r="A41" s="11" t="s">
        <v>31</v>
      </c>
      <c r="B41" s="16"/>
      <c r="C41" s="16"/>
      <c r="D41" s="16"/>
      <c r="E41" s="37"/>
      <c r="F41" s="20"/>
      <c r="G41" s="6"/>
    </row>
    <row r="42" spans="1:7" x14ac:dyDescent="0.3">
      <c r="A42" s="11" t="s">
        <v>32</v>
      </c>
      <c r="B42" s="17">
        <v>13.83</v>
      </c>
      <c r="C42" s="17">
        <f>50</f>
        <v>50</v>
      </c>
      <c r="D42" s="17">
        <f>(B42)-(C42)</f>
        <v>-36.17</v>
      </c>
      <c r="E42" s="31">
        <f>IF(C42=0,"",(B42)/(C42))</f>
        <v>0.27660000000000001</v>
      </c>
      <c r="F42" s="19">
        <v>15</v>
      </c>
      <c r="G42" s="6"/>
    </row>
    <row r="43" spans="1:7" x14ac:dyDescent="0.3">
      <c r="A43" s="11" t="s">
        <v>33</v>
      </c>
      <c r="B43" s="21">
        <f>SUM(B42)</f>
        <v>13.83</v>
      </c>
      <c r="C43" s="21">
        <f>SUM(C42)</f>
        <v>50</v>
      </c>
      <c r="D43" s="21">
        <f>(B43)-(C43)</f>
        <v>-36.17</v>
      </c>
      <c r="E43" s="32">
        <f>IF(C43=0,"",(B43)/(C43))</f>
        <v>0.27660000000000001</v>
      </c>
      <c r="F43" s="22">
        <f>SUM(F42)</f>
        <v>15</v>
      </c>
      <c r="G43" s="6"/>
    </row>
    <row r="44" spans="1:7" x14ac:dyDescent="0.3">
      <c r="A44" s="2"/>
      <c r="B44" s="17"/>
      <c r="C44" s="16"/>
      <c r="D44" s="17"/>
      <c r="E44" s="31"/>
      <c r="F44" s="20"/>
      <c r="G44" s="6"/>
    </row>
    <row r="45" spans="1:7" x14ac:dyDescent="0.3">
      <c r="A45" s="41" t="s">
        <v>13</v>
      </c>
      <c r="B45" s="39">
        <f t="shared" ref="B45:E45" si="3">B24+B29+B34+B39+B43+B17+B11</f>
        <v>240241.08999999997</v>
      </c>
      <c r="C45" s="39">
        <f t="shared" si="3"/>
        <v>188050</v>
      </c>
      <c r="D45" s="39">
        <f>D24+D29+D34+D39+D43+D17+D11</f>
        <v>52191.09</v>
      </c>
      <c r="E45" s="39">
        <f t="shared" si="3"/>
        <v>5.5928217090196082</v>
      </c>
      <c r="F45" s="39">
        <f>F24+F29+F34+F39+F43+F17+F11</f>
        <v>360640</v>
      </c>
      <c r="G45" s="5"/>
    </row>
    <row r="46" spans="1:7" x14ac:dyDescent="0.3">
      <c r="A46" s="9"/>
      <c r="B46" s="25"/>
      <c r="C46" s="25"/>
      <c r="D46" s="25"/>
      <c r="E46" s="34"/>
      <c r="F46" s="26"/>
      <c r="G46" s="5"/>
    </row>
    <row r="47" spans="1:7" ht="15.6" x14ac:dyDescent="0.3">
      <c r="A47" s="12" t="s">
        <v>17</v>
      </c>
      <c r="B47" s="27"/>
      <c r="C47" s="27"/>
      <c r="D47" s="27"/>
      <c r="E47" s="35"/>
      <c r="F47" s="27"/>
      <c r="G47" s="6"/>
    </row>
    <row r="48" spans="1:7" s="3" customFormat="1" x14ac:dyDescent="0.3">
      <c r="A48" s="2"/>
      <c r="B48" s="16"/>
      <c r="C48" s="28"/>
      <c r="D48" s="28"/>
      <c r="E48" s="36"/>
      <c r="F48" s="18"/>
      <c r="G48" s="6"/>
    </row>
    <row r="49" spans="1:9" s="3" customFormat="1" x14ac:dyDescent="0.3">
      <c r="A49" s="7" t="s">
        <v>58</v>
      </c>
      <c r="B49" s="16"/>
      <c r="C49" s="28"/>
      <c r="D49" s="28"/>
      <c r="E49" s="36"/>
      <c r="F49" s="18"/>
      <c r="G49" s="6"/>
    </row>
    <row r="50" spans="1:9" s="3" customFormat="1" x14ac:dyDescent="0.3">
      <c r="A50" s="2" t="s">
        <v>16</v>
      </c>
      <c r="B50" s="17">
        <v>3155</v>
      </c>
      <c r="C50" s="16"/>
      <c r="D50" s="17">
        <f t="shared" ref="D50" si="4">(B50)-(C50)</f>
        <v>3155</v>
      </c>
      <c r="E50" s="31" t="str">
        <f t="shared" ref="E50" si="5">IF(C50=0,"",(B50)/(C50))</f>
        <v/>
      </c>
      <c r="F50" s="20">
        <v>5000</v>
      </c>
      <c r="G50" s="6"/>
    </row>
    <row r="51" spans="1:9" s="3" customFormat="1" x14ac:dyDescent="0.3">
      <c r="A51" s="8" t="s">
        <v>61</v>
      </c>
      <c r="B51" s="17"/>
      <c r="C51" s="16"/>
      <c r="D51" s="17"/>
      <c r="E51" s="31"/>
      <c r="F51" s="20">
        <v>7500</v>
      </c>
      <c r="G51" s="6"/>
    </row>
    <row r="52" spans="1:9" s="3" customFormat="1" x14ac:dyDescent="0.3">
      <c r="A52" s="8" t="s">
        <v>60</v>
      </c>
      <c r="B52" s="17"/>
      <c r="C52" s="16"/>
      <c r="D52" s="17"/>
      <c r="E52" s="31"/>
      <c r="F52" s="20">
        <v>500</v>
      </c>
      <c r="G52" s="6"/>
    </row>
    <row r="53" spans="1:9" s="3" customFormat="1" x14ac:dyDescent="0.3">
      <c r="A53" s="8" t="s">
        <v>67</v>
      </c>
      <c r="B53" s="53"/>
      <c r="C53" s="79"/>
      <c r="D53" s="79"/>
      <c r="E53" s="80"/>
      <c r="F53" s="81">
        <v>4000</v>
      </c>
      <c r="G53" s="6"/>
    </row>
    <row r="54" spans="1:9" s="3" customFormat="1" x14ac:dyDescent="0.3">
      <c r="A54" s="2"/>
      <c r="B54" s="16">
        <f>SUM(B50:B53)</f>
        <v>3155</v>
      </c>
      <c r="C54" s="28">
        <v>7500</v>
      </c>
      <c r="D54" s="28">
        <f>B54-C54</f>
        <v>-4345</v>
      </c>
      <c r="E54" s="36"/>
      <c r="F54" s="18">
        <f>SUM(F50:F53)</f>
        <v>17000</v>
      </c>
      <c r="G54" s="6"/>
    </row>
    <row r="55" spans="1:9" s="3" customFormat="1" x14ac:dyDescent="0.3">
      <c r="A55" s="2"/>
      <c r="B55" s="16"/>
      <c r="C55" s="28"/>
      <c r="D55" s="28"/>
      <c r="E55" s="36"/>
      <c r="F55" s="18"/>
      <c r="G55" s="6"/>
      <c r="H55" s="3" t="s">
        <v>81</v>
      </c>
      <c r="I55" s="91">
        <v>100000</v>
      </c>
    </row>
    <row r="56" spans="1:9" s="3" customFormat="1" x14ac:dyDescent="0.3">
      <c r="A56" s="82" t="s">
        <v>59</v>
      </c>
      <c r="B56" s="47">
        <v>3658.95</v>
      </c>
      <c r="C56" s="48">
        <f>105000</f>
        <v>105000</v>
      </c>
      <c r="D56" s="48">
        <f>(B56)-(C56)</f>
        <v>-101341.05</v>
      </c>
      <c r="E56" s="49">
        <f>IF(C56=0,"",(B56)/(C56))</f>
        <v>3.4847142857142854E-2</v>
      </c>
      <c r="F56" s="48">
        <v>160000</v>
      </c>
      <c r="G56" s="6"/>
      <c r="H56" s="3" t="s">
        <v>82</v>
      </c>
      <c r="I56" s="91">
        <v>200000</v>
      </c>
    </row>
    <row r="57" spans="1:9" s="101" customFormat="1" x14ac:dyDescent="0.3">
      <c r="A57" s="82" t="s">
        <v>28</v>
      </c>
      <c r="B57" s="47">
        <v>11505</v>
      </c>
      <c r="C57" s="48">
        <v>9850</v>
      </c>
      <c r="D57" s="48">
        <v>1655</v>
      </c>
      <c r="E57" s="49">
        <v>1.168020304568528</v>
      </c>
      <c r="F57" s="48">
        <v>15000</v>
      </c>
      <c r="G57" s="6"/>
      <c r="H57" s="6" t="s">
        <v>44</v>
      </c>
      <c r="I57" s="6" t="s">
        <v>91</v>
      </c>
    </row>
    <row r="58" spans="1:9" s="3" customFormat="1" x14ac:dyDescent="0.3">
      <c r="A58" s="85" t="s">
        <v>77</v>
      </c>
      <c r="B58" s="87"/>
      <c r="C58" s="88"/>
      <c r="D58" s="88"/>
      <c r="E58" s="89"/>
      <c r="F58" s="88">
        <v>20000</v>
      </c>
      <c r="G58" s="6"/>
    </row>
    <row r="59" spans="1:9" s="3" customFormat="1" x14ac:dyDescent="0.3">
      <c r="A59" s="86" t="s">
        <v>76</v>
      </c>
      <c r="B59" s="47"/>
      <c r="C59" s="48"/>
      <c r="D59" s="48"/>
      <c r="E59" s="49"/>
      <c r="F59" s="90">
        <f>SUM(F56:F58)</f>
        <v>195000</v>
      </c>
      <c r="G59" s="6"/>
    </row>
    <row r="60" spans="1:9" s="3" customFormat="1" x14ac:dyDescent="0.3">
      <c r="A60" s="2"/>
      <c r="B60" s="16"/>
      <c r="C60" s="28"/>
      <c r="D60" s="28"/>
      <c r="E60" s="36"/>
      <c r="F60" s="18"/>
      <c r="G60" s="6"/>
    </row>
    <row r="61" spans="1:9" s="3" customFormat="1" x14ac:dyDescent="0.3">
      <c r="A61" s="60" t="s">
        <v>62</v>
      </c>
      <c r="B61" s="61"/>
      <c r="C61" s="61"/>
      <c r="D61" s="61"/>
      <c r="E61" s="62"/>
      <c r="F61" s="61"/>
      <c r="G61" s="6"/>
    </row>
    <row r="62" spans="1:9" s="3" customFormat="1" x14ac:dyDescent="0.3">
      <c r="A62" s="60" t="s">
        <v>63</v>
      </c>
      <c r="B62" s="61"/>
      <c r="C62" s="61"/>
      <c r="D62" s="61"/>
      <c r="E62" s="62"/>
      <c r="F62" s="64">
        <f>25*20</f>
        <v>500</v>
      </c>
      <c r="G62" s="6"/>
    </row>
    <row r="63" spans="1:9" s="3" customFormat="1" x14ac:dyDescent="0.3">
      <c r="A63" s="60" t="s">
        <v>64</v>
      </c>
      <c r="B63" s="61"/>
      <c r="C63" s="61"/>
      <c r="D63" s="61"/>
      <c r="E63" s="62"/>
      <c r="F63" s="64">
        <f>25*40</f>
        <v>1000</v>
      </c>
      <c r="G63" s="6"/>
    </row>
    <row r="64" spans="1:9" s="3" customFormat="1" x14ac:dyDescent="0.3">
      <c r="A64" s="60" t="s">
        <v>60</v>
      </c>
      <c r="B64" s="65"/>
      <c r="C64" s="65"/>
      <c r="D64" s="65"/>
      <c r="E64" s="66"/>
      <c r="F64" s="67">
        <v>500</v>
      </c>
      <c r="G64" s="6"/>
    </row>
    <row r="65" spans="1:8" s="3" customFormat="1" x14ac:dyDescent="0.3">
      <c r="A65" s="83" t="s">
        <v>66</v>
      </c>
      <c r="B65" s="61"/>
      <c r="C65" s="61"/>
      <c r="D65" s="61"/>
      <c r="E65" s="62"/>
      <c r="F65" s="61">
        <f>SUM(F62:F64)</f>
        <v>2000</v>
      </c>
      <c r="G65" s="6"/>
    </row>
    <row r="66" spans="1:8" s="3" customFormat="1" x14ac:dyDescent="0.3">
      <c r="A66" s="59"/>
      <c r="B66" s="16"/>
      <c r="C66" s="28"/>
      <c r="D66" s="28"/>
      <c r="E66" s="36"/>
      <c r="F66" s="18"/>
      <c r="G66" s="6"/>
    </row>
    <row r="67" spans="1:8" x14ac:dyDescent="0.3">
      <c r="A67" s="84" t="s">
        <v>68</v>
      </c>
      <c r="B67" s="72">
        <f>9502.96</f>
        <v>9502.9599999999991</v>
      </c>
      <c r="C67" s="72">
        <f>8000</f>
        <v>8000</v>
      </c>
      <c r="D67" s="72">
        <f>(B67)-(C67)</f>
        <v>1502.9599999999991</v>
      </c>
      <c r="E67" s="73">
        <f>IF(C67=0,"",(B67)/(C67))</f>
        <v>1.18787</v>
      </c>
      <c r="F67" s="72">
        <v>10000</v>
      </c>
      <c r="G67" s="6"/>
    </row>
    <row r="68" spans="1:8" s="3" customFormat="1" x14ac:dyDescent="0.3">
      <c r="A68" s="2"/>
      <c r="B68" s="17"/>
      <c r="C68" s="17"/>
      <c r="D68" s="17"/>
      <c r="E68" s="31"/>
      <c r="F68" s="19"/>
      <c r="G68" s="6"/>
    </row>
    <row r="69" spans="1:8" x14ac:dyDescent="0.3">
      <c r="A69" s="2" t="s">
        <v>14</v>
      </c>
      <c r="B69" s="16"/>
      <c r="C69" s="17">
        <f>1000</f>
        <v>1000</v>
      </c>
      <c r="D69" s="17">
        <f t="shared" ref="D69" si="6">(B69)-(C69)</f>
        <v>-1000</v>
      </c>
      <c r="E69" s="31">
        <f t="shared" ref="E69:E71" si="7">IF(C69=0,"",(B69)/(C69))</f>
        <v>0</v>
      </c>
      <c r="F69" s="19">
        <v>1000</v>
      </c>
      <c r="G69" s="6"/>
    </row>
    <row r="70" spans="1:8" x14ac:dyDescent="0.3">
      <c r="A70" s="97" t="s">
        <v>43</v>
      </c>
      <c r="B70" s="98"/>
      <c r="C70" s="98"/>
      <c r="D70" s="98"/>
      <c r="E70" s="98"/>
      <c r="F70" s="94">
        <v>10000</v>
      </c>
      <c r="G70" s="6"/>
    </row>
    <row r="71" spans="1:8" x14ac:dyDescent="0.3">
      <c r="A71" s="10" t="s">
        <v>15</v>
      </c>
      <c r="B71" s="21">
        <v>0</v>
      </c>
      <c r="C71" s="21">
        <f>(C69)+(C70)</f>
        <v>1000</v>
      </c>
      <c r="D71" s="21">
        <f>B71-C71</f>
        <v>-1000</v>
      </c>
      <c r="E71" s="32">
        <f t="shared" si="7"/>
        <v>0</v>
      </c>
      <c r="F71" s="22">
        <f>SUM(F69:F70)</f>
        <v>11000</v>
      </c>
      <c r="G71" s="6"/>
    </row>
    <row r="72" spans="1:8" x14ac:dyDescent="0.3">
      <c r="A72" s="10"/>
      <c r="B72" s="23"/>
      <c r="C72" s="23"/>
      <c r="D72" s="23"/>
      <c r="E72" s="33"/>
      <c r="F72" s="24"/>
      <c r="G72" s="6"/>
    </row>
    <row r="73" spans="1:8" x14ac:dyDescent="0.3">
      <c r="A73" s="2" t="s">
        <v>18</v>
      </c>
      <c r="B73" s="16"/>
      <c r="C73" s="17">
        <f>1200</f>
        <v>1200</v>
      </c>
      <c r="D73" s="17">
        <f t="shared" ref="D73:D97" si="8">(B73)-(C73)</f>
        <v>-1200</v>
      </c>
      <c r="E73" s="31">
        <f t="shared" ref="E73:E97" si="9">IF(C73=0,"",(B73)/(C73))</f>
        <v>0</v>
      </c>
      <c r="F73" s="19"/>
      <c r="G73" s="6"/>
    </row>
    <row r="74" spans="1:8" x14ac:dyDescent="0.3">
      <c r="A74" s="8" t="s">
        <v>38</v>
      </c>
      <c r="B74" s="16">
        <v>363</v>
      </c>
      <c r="C74" s="17"/>
      <c r="D74" s="17"/>
      <c r="E74" s="31"/>
      <c r="F74" s="19">
        <v>400</v>
      </c>
      <c r="G74" s="6"/>
    </row>
    <row r="75" spans="1:8" x14ac:dyDescent="0.3">
      <c r="A75" s="2" t="s">
        <v>19</v>
      </c>
      <c r="B75" s="17">
        <v>2493</v>
      </c>
      <c r="C75" s="16"/>
      <c r="D75" s="17">
        <f t="shared" si="8"/>
        <v>2493</v>
      </c>
      <c r="E75" s="31" t="str">
        <f t="shared" si="9"/>
        <v/>
      </c>
      <c r="F75" s="20">
        <v>1300</v>
      </c>
      <c r="G75" s="6"/>
      <c r="H75" t="s">
        <v>90</v>
      </c>
    </row>
    <row r="76" spans="1:8" x14ac:dyDescent="0.3">
      <c r="A76" s="10" t="s">
        <v>20</v>
      </c>
      <c r="B76" s="21">
        <f>(B73)+(B75)</f>
        <v>2493</v>
      </c>
      <c r="C76" s="21">
        <f>(C73)+(C75)</f>
        <v>1200</v>
      </c>
      <c r="D76" s="21">
        <f t="shared" si="8"/>
        <v>1293</v>
      </c>
      <c r="E76" s="32">
        <f t="shared" si="9"/>
        <v>2.0775000000000001</v>
      </c>
      <c r="F76" s="22">
        <f>SUM(F73:F75)</f>
        <v>1700</v>
      </c>
      <c r="G76" s="6"/>
    </row>
    <row r="77" spans="1:8" x14ac:dyDescent="0.3">
      <c r="A77" s="2"/>
      <c r="B77" s="23"/>
      <c r="C77" s="23"/>
      <c r="D77" s="23"/>
      <c r="E77" s="33"/>
      <c r="F77" s="24"/>
      <c r="G77" s="6"/>
    </row>
    <row r="78" spans="1:8" x14ac:dyDescent="0.3">
      <c r="A78" s="59" t="s">
        <v>69</v>
      </c>
      <c r="B78" s="16"/>
      <c r="C78" s="17"/>
      <c r="D78" s="17"/>
      <c r="E78" s="31"/>
      <c r="F78" s="19"/>
      <c r="G78" s="6"/>
    </row>
    <row r="79" spans="1:8" x14ac:dyDescent="0.3">
      <c r="A79" s="2" t="s">
        <v>21</v>
      </c>
      <c r="B79" s="29">
        <v>64740.959999999999</v>
      </c>
      <c r="C79" s="29">
        <f>75000</f>
        <v>75000</v>
      </c>
      <c r="D79" s="29">
        <f>(B79)-(C79)</f>
        <v>-10259.040000000001</v>
      </c>
      <c r="E79" s="38">
        <f>IF(C79=0,"",(B79)/(C79))</f>
        <v>0.8632128</v>
      </c>
      <c r="F79" s="30">
        <f>4200*12</f>
        <v>50400</v>
      </c>
      <c r="G79" s="6"/>
    </row>
    <row r="80" spans="1:8" x14ac:dyDescent="0.3">
      <c r="A80" s="7" t="s">
        <v>72</v>
      </c>
      <c r="B80" s="17">
        <f>600</f>
        <v>600</v>
      </c>
      <c r="C80" s="16"/>
      <c r="D80" s="17">
        <f t="shared" si="8"/>
        <v>600</v>
      </c>
      <c r="E80" s="31" t="str">
        <f t="shared" si="9"/>
        <v/>
      </c>
      <c r="F80" s="20">
        <v>600</v>
      </c>
      <c r="G80" s="6"/>
    </row>
    <row r="81" spans="1:8" x14ac:dyDescent="0.3">
      <c r="A81" s="8" t="s">
        <v>71</v>
      </c>
      <c r="B81" s="17"/>
      <c r="C81" s="16"/>
      <c r="D81" s="17">
        <f t="shared" ref="D81" si="10">(B81)-(C81)</f>
        <v>0</v>
      </c>
      <c r="E81" s="31" t="str">
        <f t="shared" ref="E81" si="11">IF(C81=0,"",(B81)/(C81))</f>
        <v/>
      </c>
      <c r="F81" s="20">
        <v>6000</v>
      </c>
      <c r="G81" s="6"/>
    </row>
    <row r="82" spans="1:8" s="3" customFormat="1" x14ac:dyDescent="0.3">
      <c r="A82" s="8" t="s">
        <v>75</v>
      </c>
      <c r="B82" s="17"/>
      <c r="C82" s="16"/>
      <c r="D82" s="17"/>
      <c r="E82" s="31"/>
      <c r="F82" s="20">
        <v>2500</v>
      </c>
      <c r="G82" s="6"/>
    </row>
    <row r="83" spans="1:8" s="3" customFormat="1" x14ac:dyDescent="0.3">
      <c r="A83" s="8" t="s">
        <v>70</v>
      </c>
      <c r="B83" s="17"/>
      <c r="C83" s="16"/>
      <c r="D83" s="17"/>
      <c r="E83" s="31"/>
      <c r="F83" s="20">
        <v>10000</v>
      </c>
      <c r="G83" s="6"/>
    </row>
    <row r="84" spans="1:8" x14ac:dyDescent="0.3">
      <c r="A84" s="10" t="s">
        <v>89</v>
      </c>
      <c r="B84" s="21">
        <f t="shared" ref="B84:E84" si="12">SUM(B79:B83)</f>
        <v>65340.959999999999</v>
      </c>
      <c r="C84" s="21">
        <f t="shared" si="12"/>
        <v>75000</v>
      </c>
      <c r="D84" s="21">
        <f t="shared" si="12"/>
        <v>-9659.0400000000009</v>
      </c>
      <c r="E84" s="32">
        <f t="shared" si="12"/>
        <v>0.8632128</v>
      </c>
      <c r="F84" s="22">
        <f>SUM(F79:F83)</f>
        <v>69500</v>
      </c>
      <c r="G84" s="6"/>
    </row>
    <row r="85" spans="1:8" x14ac:dyDescent="0.3">
      <c r="A85" s="2"/>
      <c r="B85" s="23"/>
      <c r="C85" s="23"/>
      <c r="D85" s="23"/>
      <c r="E85" s="33"/>
      <c r="F85" s="24"/>
      <c r="G85" s="6"/>
    </row>
    <row r="86" spans="1:8" x14ac:dyDescent="0.3">
      <c r="A86" s="11" t="s">
        <v>87</v>
      </c>
      <c r="B86" s="16"/>
      <c r="C86" s="16"/>
      <c r="D86" s="17"/>
      <c r="E86" s="31" t="str">
        <f t="shared" si="9"/>
        <v/>
      </c>
      <c r="F86" s="20"/>
      <c r="G86" s="6"/>
    </row>
    <row r="87" spans="1:8" s="3" customFormat="1" x14ac:dyDescent="0.3">
      <c r="A87" s="2" t="s">
        <v>22</v>
      </c>
      <c r="B87" s="29">
        <f>402.65</f>
        <v>402.65</v>
      </c>
      <c r="C87" s="29">
        <f>500</f>
        <v>500</v>
      </c>
      <c r="D87" s="29">
        <f>(B87)-(C87)</f>
        <v>-97.350000000000023</v>
      </c>
      <c r="E87" s="38">
        <f>IF(C87=0,"",(B87)/(C87))</f>
        <v>0.8052999999999999</v>
      </c>
      <c r="F87" s="30">
        <v>500</v>
      </c>
      <c r="G87" s="6"/>
    </row>
    <row r="88" spans="1:8" x14ac:dyDescent="0.3">
      <c r="A88" s="8" t="s">
        <v>73</v>
      </c>
      <c r="B88" s="29">
        <v>0</v>
      </c>
      <c r="C88" s="29">
        <f>2500</f>
        <v>2500</v>
      </c>
      <c r="D88" s="29">
        <f>(B88)-(C88)</f>
        <v>-2500</v>
      </c>
      <c r="E88" s="38">
        <f>IF(C88=0,"",(B88)/(C88))</f>
        <v>0</v>
      </c>
      <c r="F88" s="30">
        <v>1000</v>
      </c>
      <c r="G88" s="6"/>
    </row>
    <row r="89" spans="1:8" x14ac:dyDescent="0.3">
      <c r="A89" s="8" t="s">
        <v>74</v>
      </c>
      <c r="B89" s="29"/>
      <c r="C89" s="29"/>
      <c r="D89" s="29"/>
      <c r="E89" s="38"/>
      <c r="F89" s="30">
        <v>3500</v>
      </c>
      <c r="G89" s="6"/>
      <c r="H89" t="s">
        <v>92</v>
      </c>
    </row>
    <row r="90" spans="1:8" s="101" customFormat="1" x14ac:dyDescent="0.3">
      <c r="A90" s="8" t="s">
        <v>93</v>
      </c>
      <c r="B90" s="29"/>
      <c r="C90" s="29"/>
      <c r="D90" s="29"/>
      <c r="E90" s="38"/>
      <c r="F90" s="30">
        <v>3500</v>
      </c>
      <c r="G90" s="6"/>
      <c r="H90" s="101" t="s">
        <v>94</v>
      </c>
    </row>
    <row r="91" spans="1:8" x14ac:dyDescent="0.3">
      <c r="A91" s="2" t="s">
        <v>23</v>
      </c>
      <c r="B91" s="29">
        <v>63</v>
      </c>
      <c r="C91" s="29">
        <v>100</v>
      </c>
      <c r="D91" s="29">
        <f t="shared" si="8"/>
        <v>-37</v>
      </c>
      <c r="E91" s="38">
        <f t="shared" si="9"/>
        <v>0.63</v>
      </c>
      <c r="F91" s="30">
        <v>100</v>
      </c>
      <c r="G91" s="6"/>
    </row>
    <row r="92" spans="1:8" x14ac:dyDescent="0.3">
      <c r="A92" s="2" t="s">
        <v>24</v>
      </c>
      <c r="B92" s="29">
        <f>193.7</f>
        <v>193.7</v>
      </c>
      <c r="C92" s="29">
        <f>100</f>
        <v>100</v>
      </c>
      <c r="D92" s="29">
        <f t="shared" si="8"/>
        <v>93.699999999999989</v>
      </c>
      <c r="E92" s="38">
        <f t="shared" si="9"/>
        <v>1.9369999999999998</v>
      </c>
      <c r="F92" s="30">
        <v>100</v>
      </c>
      <c r="G92" s="6"/>
    </row>
    <row r="93" spans="1:8" x14ac:dyDescent="0.3">
      <c r="A93" s="2" t="s">
        <v>25</v>
      </c>
      <c r="B93" s="29">
        <f>14.81</f>
        <v>14.81</v>
      </c>
      <c r="C93" s="29">
        <f>600</f>
        <v>600</v>
      </c>
      <c r="D93" s="29">
        <f t="shared" si="8"/>
        <v>-585.19000000000005</v>
      </c>
      <c r="E93" s="38">
        <f t="shared" si="9"/>
        <v>2.4683333333333335E-2</v>
      </c>
      <c r="F93" s="30">
        <v>50</v>
      </c>
      <c r="G93" s="6"/>
    </row>
    <row r="94" spans="1:8" x14ac:dyDescent="0.3">
      <c r="A94" s="2" t="s">
        <v>26</v>
      </c>
      <c r="B94" s="17">
        <f>37.65</f>
        <v>37.65</v>
      </c>
      <c r="C94" s="17">
        <f>500</f>
        <v>500</v>
      </c>
      <c r="D94" s="17">
        <f t="shared" si="8"/>
        <v>-462.35</v>
      </c>
      <c r="E94" s="31">
        <f t="shared" si="9"/>
        <v>7.5299999999999992E-2</v>
      </c>
      <c r="F94" s="19">
        <v>50</v>
      </c>
      <c r="G94" s="6"/>
    </row>
    <row r="95" spans="1:8" x14ac:dyDescent="0.3">
      <c r="A95" s="2" t="s">
        <v>27</v>
      </c>
      <c r="B95" s="17">
        <f>10</f>
        <v>10</v>
      </c>
      <c r="C95" s="16"/>
      <c r="D95" s="17">
        <f t="shared" si="8"/>
        <v>10</v>
      </c>
      <c r="E95" s="31" t="str">
        <f t="shared" si="9"/>
        <v/>
      </c>
      <c r="F95" s="20"/>
      <c r="G95" s="6"/>
    </row>
    <row r="96" spans="1:8" x14ac:dyDescent="0.3">
      <c r="A96" s="2" t="s">
        <v>29</v>
      </c>
      <c r="B96" s="17">
        <v>1533</v>
      </c>
      <c r="C96" s="17">
        <f>2200</f>
        <v>2200</v>
      </c>
      <c r="D96" s="17">
        <f t="shared" si="8"/>
        <v>-667</v>
      </c>
      <c r="E96" s="31">
        <f t="shared" si="9"/>
        <v>0.69681818181818178</v>
      </c>
      <c r="F96" s="19">
        <v>130</v>
      </c>
      <c r="G96" s="6"/>
    </row>
    <row r="97" spans="1:8" x14ac:dyDescent="0.3">
      <c r="A97" s="10" t="s">
        <v>88</v>
      </c>
      <c r="B97" s="21">
        <f>SUM(B79:B96)</f>
        <v>132936.73000000001</v>
      </c>
      <c r="C97" s="21">
        <f>SUM(C79:C96)</f>
        <v>156500</v>
      </c>
      <c r="D97" s="21">
        <f t="shared" si="8"/>
        <v>-23563.26999999999</v>
      </c>
      <c r="E97" s="32">
        <f t="shared" si="9"/>
        <v>0.84943597444089458</v>
      </c>
      <c r="F97" s="22">
        <f>SUM(F87:F96)</f>
        <v>8930</v>
      </c>
      <c r="G97" s="6"/>
    </row>
    <row r="98" spans="1:8" x14ac:dyDescent="0.3">
      <c r="A98" s="2"/>
      <c r="B98" s="17"/>
      <c r="C98" s="16"/>
      <c r="D98" s="17"/>
      <c r="E98" s="31"/>
      <c r="F98" s="20"/>
      <c r="G98" s="6"/>
    </row>
    <row r="99" spans="1:8" x14ac:dyDescent="0.3">
      <c r="A99" s="41" t="s">
        <v>30</v>
      </c>
      <c r="B99" s="39">
        <f>B97+B84+B76+B71+B67+B65+B56+B54</f>
        <v>217087.6</v>
      </c>
      <c r="C99" s="39">
        <f>C97+C84+C76+C71+C67+C65+C56+C54</f>
        <v>354200</v>
      </c>
      <c r="D99" s="39">
        <f>D97+D84+D76+D71+D67+D65+D56+D54</f>
        <v>-137112.4</v>
      </c>
      <c r="E99" s="39">
        <f>E97+E84+E76+E71+E67+E65+E56+E54</f>
        <v>5.0128659172980381</v>
      </c>
      <c r="F99" s="39">
        <f>F97+F84+F76+F71+F67+F65+F59+F54</f>
        <v>315130</v>
      </c>
      <c r="G99" s="6"/>
    </row>
    <row r="100" spans="1:8" x14ac:dyDescent="0.3">
      <c r="A100" s="42"/>
      <c r="B100" s="23"/>
      <c r="C100" s="23"/>
      <c r="D100" s="23"/>
      <c r="E100" s="33"/>
      <c r="F100" s="24"/>
      <c r="G100" s="43"/>
      <c r="H100" s="44"/>
    </row>
    <row r="101" spans="1:8" x14ac:dyDescent="0.3">
      <c r="A101" s="42"/>
      <c r="B101" s="23"/>
      <c r="C101" s="23"/>
      <c r="D101" s="23"/>
      <c r="E101" s="33"/>
      <c r="F101" s="24"/>
      <c r="G101" s="43"/>
      <c r="H101" s="44"/>
    </row>
    <row r="102" spans="1:8" x14ac:dyDescent="0.3">
      <c r="A102" s="41" t="s">
        <v>34</v>
      </c>
      <c r="B102" s="39">
        <f>B45-B99</f>
        <v>23153.489999999962</v>
      </c>
      <c r="C102" s="39">
        <f>C45-C99</f>
        <v>-166150</v>
      </c>
      <c r="D102" s="39">
        <f>D45-D99</f>
        <v>189303.49</v>
      </c>
      <c r="E102" s="40">
        <f>IF(C102=0,"",(B102)/(C102))</f>
        <v>-0.13935293409569643</v>
      </c>
      <c r="F102" s="39">
        <f>F45-F99</f>
        <v>45510</v>
      </c>
      <c r="G102" s="43"/>
      <c r="H102" s="44"/>
    </row>
    <row r="103" spans="1:8" x14ac:dyDescent="0.3">
      <c r="A103" s="42"/>
      <c r="B103" s="45"/>
      <c r="C103" s="45"/>
      <c r="D103" s="45"/>
      <c r="E103" s="45"/>
      <c r="F103" s="44"/>
      <c r="G103" s="44"/>
      <c r="H103" s="44"/>
    </row>
    <row r="104" spans="1:8" x14ac:dyDescent="0.3">
      <c r="A104" s="44"/>
      <c r="B104" s="44"/>
      <c r="C104" s="44"/>
      <c r="D104" s="44"/>
      <c r="E104" s="44"/>
      <c r="F104" s="44"/>
      <c r="G104" s="44"/>
      <c r="H104" s="44"/>
    </row>
    <row r="105" spans="1:8" x14ac:dyDescent="0.3">
      <c r="A105" s="82" t="s">
        <v>83</v>
      </c>
      <c r="B105" s="47"/>
      <c r="C105" s="47"/>
      <c r="D105" s="47"/>
      <c r="E105" s="47"/>
      <c r="F105" s="92">
        <f>F24-F59</f>
        <v>57500</v>
      </c>
      <c r="G105" s="44"/>
      <c r="H105" s="44"/>
    </row>
    <row r="106" spans="1:8" x14ac:dyDescent="0.3">
      <c r="A106" s="60" t="s">
        <v>84</v>
      </c>
      <c r="B106" s="61"/>
      <c r="C106" s="61"/>
      <c r="D106" s="61"/>
      <c r="E106" s="62"/>
      <c r="F106" s="61">
        <f>F29-F65</f>
        <v>2875</v>
      </c>
    </row>
    <row r="107" spans="1:8" x14ac:dyDescent="0.3">
      <c r="A107" s="84" t="s">
        <v>85</v>
      </c>
      <c r="B107" s="72"/>
      <c r="C107" s="72"/>
      <c r="D107" s="72"/>
      <c r="E107" s="73"/>
      <c r="F107" s="76">
        <f>F34-F67</f>
        <v>0</v>
      </c>
    </row>
    <row r="108" spans="1:8" x14ac:dyDescent="0.3">
      <c r="A108" s="93" t="s">
        <v>86</v>
      </c>
      <c r="B108" s="94"/>
      <c r="C108" s="94"/>
      <c r="D108" s="94"/>
      <c r="E108" s="95"/>
      <c r="F108" s="96">
        <f>F38-F70</f>
        <v>0</v>
      </c>
    </row>
  </sheetData>
  <mergeCells count="4">
    <mergeCell ref="B5:E5"/>
    <mergeCell ref="A1:E1"/>
    <mergeCell ref="A2:E2"/>
    <mergeCell ref="A3:E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vs. Actuals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Catrina Asher</cp:lastModifiedBy>
  <dcterms:created xsi:type="dcterms:W3CDTF">2021-11-11T02:46:10Z</dcterms:created>
  <dcterms:modified xsi:type="dcterms:W3CDTF">2021-12-09T21:56:11Z</dcterms:modified>
</cp:coreProperties>
</file>